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2"/>
  <workbookPr/>
  <mc:AlternateContent xmlns:mc="http://schemas.openxmlformats.org/markup-compatibility/2006">
    <mc:Choice Requires="x15">
      <x15ac:absPath xmlns:x15ac="http://schemas.microsoft.com/office/spreadsheetml/2010/11/ac" url="/Users/antoon/Downloads/"/>
    </mc:Choice>
  </mc:AlternateContent>
  <xr:revisionPtr revIDLastSave="0" documentId="13_ncr:1_{B6DAC315-C869-7642-AAD7-7C286AFFFD0D}" xr6:coauthVersionLast="36" xr6:coauthVersionMax="36" xr10:uidLastSave="{00000000-0000-0000-0000-000000000000}"/>
  <bookViews>
    <workbookView xWindow="19140" yWindow="5260" windowWidth="19260" windowHeight="16100" xr2:uid="{00000000-000D-0000-FFFF-FFFF00000000}"/>
  </bookViews>
  <sheets>
    <sheet name="Blad1" sheetId="1" r:id="rId1"/>
  </sheets>
  <definedNames>
    <definedName name="_xlnm.Print_Area" localSheetId="0">Blad1!$A$1:$K$77</definedName>
  </definedNames>
  <calcPr calcId="181029"/>
</workbook>
</file>

<file path=xl/calcChain.xml><?xml version="1.0" encoding="utf-8"?>
<calcChain xmlns="http://schemas.openxmlformats.org/spreadsheetml/2006/main">
  <c r="C10" i="1" l="1"/>
  <c r="I1" i="1" l="1"/>
  <c r="D9" i="1"/>
  <c r="H9" i="1" s="1"/>
  <c r="D7" i="1"/>
  <c r="D5" i="1" l="1"/>
  <c r="D8" i="1" l="1"/>
  <c r="D6" i="1"/>
  <c r="H7" i="1" l="1"/>
  <c r="H6" i="1"/>
  <c r="D13" i="1"/>
  <c r="H13" i="1" s="1"/>
  <c r="H8" i="1"/>
  <c r="D10" i="1"/>
  <c r="C13" i="1"/>
  <c r="C17" i="1"/>
  <c r="D17" i="1"/>
  <c r="C21" i="1"/>
  <c r="D21" i="1"/>
  <c r="H21" i="1" s="1"/>
  <c r="H10" i="1" l="1"/>
  <c r="H14" i="1" s="1"/>
  <c r="H18" i="1" s="1"/>
  <c r="H22" i="1" l="1"/>
  <c r="J10" i="1"/>
  <c r="K10" i="1" s="1"/>
  <c r="D14" i="1"/>
  <c r="D18" i="1" l="1"/>
  <c r="E18" i="1" s="1"/>
  <c r="E14" i="1"/>
  <c r="J14" i="1"/>
  <c r="K14" i="1" l="1"/>
  <c r="I14" i="1" s="1"/>
  <c r="D22" i="1"/>
  <c r="E22" i="1" s="1"/>
  <c r="J18" i="1"/>
  <c r="K18" i="1" l="1"/>
  <c r="I18" i="1" s="1"/>
  <c r="J22" i="1"/>
  <c r="K22" i="1" l="1"/>
  <c r="I22" i="1" s="1"/>
</calcChain>
</file>

<file path=xl/sharedStrings.xml><?xml version="1.0" encoding="utf-8"?>
<sst xmlns="http://schemas.openxmlformats.org/spreadsheetml/2006/main" count="46" uniqueCount="33">
  <si>
    <t>kg</t>
  </si>
  <si>
    <t>lbs</t>
  </si>
  <si>
    <t>Mass</t>
  </si>
  <si>
    <t>Arm</t>
  </si>
  <si>
    <t>inch</t>
  </si>
  <si>
    <t>Moment</t>
  </si>
  <si>
    <t>zero fuel mass</t>
  </si>
  <si>
    <t>ramp mass</t>
  </si>
  <si>
    <t>landing mass</t>
  </si>
  <si>
    <t>total fuel (USG)</t>
  </si>
  <si>
    <t>taxi fuel (USG)</t>
  </si>
  <si>
    <t>trip fuel (USG)</t>
  </si>
  <si>
    <t>US Gallons</t>
  </si>
  <si>
    <t>liters</t>
  </si>
  <si>
    <t>inch.lbs/1000</t>
  </si>
  <si>
    <t>CG</t>
  </si>
  <si>
    <t>forward limit</t>
  </si>
  <si>
    <t>aft limit</t>
  </si>
  <si>
    <t xml:space="preserve">  </t>
  </si>
  <si>
    <t xml:space="preserve"> </t>
  </si>
  <si>
    <t>Weighing report date: as stated on documentation</t>
  </si>
  <si>
    <t>.</t>
  </si>
  <si>
    <t>SSN-W&amp;B 6.0 dated 22-10-2014</t>
  </si>
  <si>
    <t>Basic empty weight</t>
  </si>
  <si>
    <t xml:space="preserve">                         weight and balance C150m</t>
  </si>
  <si>
    <t>take-off mass (MAX 1600 lbs/726 Kg)</t>
  </si>
  <si>
    <t>Pilot (left seat)</t>
  </si>
  <si>
    <t>Passenger (right seat)</t>
  </si>
  <si>
    <t>Rear area 1 (forward)</t>
  </si>
  <si>
    <t>Rear area 2 (aft)</t>
  </si>
  <si>
    <t>PH-SKF</t>
  </si>
  <si>
    <t>FUEL: 2X 13 USG            2X 12 USG USABLE</t>
  </si>
  <si>
    <t>MAX TAKE-OFF WEIGHT 1600 LBS / 726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</si>
</sst>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b/>
      <sz val="10"/>
      <name val="Arial"/>
      <family val="2"/>
    </font>
    <font>
      <sz val="14"/>
      <name val="Arial"/>
      <family val="2"/>
    </font>
    <font>
      <b/>
      <sz val="20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sz val="18"/>
      <color theme="3" tint="-0.499984740745262"/>
      <name val="Arial"/>
      <family val="2"/>
    </font>
    <font>
      <sz val="8"/>
      <color theme="3" tint="-0.499984740745262"/>
      <name val="Arial"/>
      <family val="2"/>
    </font>
    <font>
      <sz val="16"/>
      <color theme="3" tint="-0.499984740745262"/>
      <name val="Arial"/>
      <family val="2"/>
    </font>
    <font>
      <sz val="14"/>
      <color theme="3" tint="-0.499984740745262"/>
      <name val="Arial"/>
      <family val="2"/>
    </font>
    <font>
      <b/>
      <sz val="14"/>
      <color theme="3" tint="-0.499984740745262"/>
      <name val="Arial"/>
      <family val="2"/>
    </font>
    <font>
      <b/>
      <sz val="10"/>
      <color theme="3" tint="-0.499984740745262"/>
      <name val="Arial"/>
      <family val="2"/>
    </font>
    <font>
      <sz val="10"/>
      <color rgb="FF002060"/>
      <name val="Arial"/>
      <family val="2"/>
    </font>
    <font>
      <b/>
      <sz val="18"/>
      <color theme="3" tint="-0.499984740745262"/>
      <name val="Arial"/>
      <family val="2"/>
    </font>
    <font>
      <b/>
      <sz val="10"/>
      <color theme="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 tint="-0.249977111117893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0" xfId="0" applyFont="1" applyFill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/>
    <xf numFmtId="0" fontId="4" fillId="0" borderId="0" xfId="0" applyFont="1" applyBorder="1"/>
    <xf numFmtId="0" fontId="4" fillId="0" borderId="0" xfId="0" applyFont="1"/>
    <xf numFmtId="0" fontId="8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2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/>
    <xf numFmtId="0" fontId="10" fillId="2" borderId="0" xfId="0" applyFont="1" applyFill="1" applyBorder="1"/>
    <xf numFmtId="0" fontId="10" fillId="2" borderId="0" xfId="0" applyFont="1" applyFill="1" applyBorder="1" applyAlignment="1">
      <alignment horizontal="center"/>
    </xf>
    <xf numFmtId="0" fontId="10" fillId="2" borderId="0" xfId="0" applyFont="1" applyFill="1"/>
    <xf numFmtId="0" fontId="10" fillId="2" borderId="0" xfId="0" applyFont="1" applyFill="1" applyBorder="1" applyAlignment="1">
      <alignment horizontal="left"/>
    </xf>
    <xf numFmtId="0" fontId="4" fillId="0" borderId="0" xfId="0" applyFont="1" applyFill="1" applyBorder="1"/>
    <xf numFmtId="0" fontId="4" fillId="0" borderId="0" xfId="0" applyFont="1" applyFill="1"/>
    <xf numFmtId="0" fontId="10" fillId="4" borderId="0" xfId="0" applyFont="1" applyFill="1" applyBorder="1"/>
    <xf numFmtId="0" fontId="10" fillId="4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1" fillId="0" borderId="0" xfId="0" applyFont="1" applyAlignment="1">
      <alignment horizontal="right"/>
    </xf>
    <xf numFmtId="0" fontId="1" fillId="4" borderId="0" xfId="0" applyFont="1" applyFill="1" applyBorder="1"/>
    <xf numFmtId="0" fontId="1" fillId="4" borderId="0" xfId="0" applyFont="1" applyFill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0" fillId="4" borderId="0" xfId="0" applyFont="1" applyFill="1" applyBorder="1" applyAlignment="1">
      <alignment horizontal="left"/>
    </xf>
    <xf numFmtId="0" fontId="4" fillId="4" borderId="0" xfId="0" applyFont="1" applyFill="1"/>
    <xf numFmtId="0" fontId="10" fillId="4" borderId="0" xfId="0" applyFont="1" applyFill="1" applyBorder="1" applyAlignment="1"/>
    <xf numFmtId="0" fontId="4" fillId="5" borderId="0" xfId="0" applyFont="1" applyFill="1" applyBorder="1" applyAlignment="1">
      <alignment horizontal="center"/>
    </xf>
    <xf numFmtId="0" fontId="1" fillId="5" borderId="0" xfId="0" applyFont="1" applyFill="1"/>
    <xf numFmtId="0" fontId="4" fillId="5" borderId="0" xfId="0" applyFont="1" applyFill="1" applyAlignment="1">
      <alignment horizontal="center"/>
    </xf>
    <xf numFmtId="0" fontId="12" fillId="6" borderId="0" xfId="0" applyFont="1" applyFill="1" applyBorder="1" applyAlignment="1">
      <alignment horizontal="center"/>
    </xf>
    <xf numFmtId="15" fontId="5" fillId="6" borderId="0" xfId="0" applyNumberFormat="1" applyFont="1" applyFill="1" applyBorder="1"/>
    <xf numFmtId="14" fontId="6" fillId="6" borderId="0" xfId="0" applyNumberFormat="1" applyFont="1" applyFill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5" borderId="0" xfId="0" quotePrefix="1" applyFont="1" applyFill="1" applyBorder="1" applyAlignment="1">
      <alignment horizontal="center"/>
    </xf>
    <xf numFmtId="0" fontId="4" fillId="0" borderId="0" xfId="0" applyFont="1" applyAlignment="1"/>
    <xf numFmtId="0" fontId="13" fillId="2" borderId="0" xfId="0" applyFont="1" applyFill="1" applyBorder="1" applyAlignment="1">
      <alignment horizontal="left"/>
    </xf>
    <xf numFmtId="0" fontId="10" fillId="4" borderId="0" xfId="0" applyFont="1" applyFill="1" applyBorder="1" applyAlignment="1">
      <alignment horizontal="center"/>
    </xf>
  </cellXfs>
  <cellStyles count="1">
    <cellStyle name="Standaard" xfId="0" builtinId="0"/>
  </cellStyles>
  <dxfs count="8">
    <dxf>
      <font>
        <b/>
        <i val="0"/>
        <condense val="0"/>
        <extend val="0"/>
        <color indexed="1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1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3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Center of Gravity moment envelope</a:t>
            </a:r>
          </a:p>
        </c:rich>
      </c:tx>
      <c:layout>
        <c:manualLayout>
          <c:xMode val="edge"/>
          <c:yMode val="edge"/>
          <c:x val="0.2211640211640212"/>
          <c:y val="2.6856240126382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04381006277317"/>
          <c:y val="0.23541582849589879"/>
          <c:w val="0.71272519987360095"/>
          <c:h val="0.56375895771384565"/>
        </c:manualLayout>
      </c:layout>
      <c:scatterChart>
        <c:scatterStyle val="lineMarker"/>
        <c:varyColors val="0"/>
        <c:ser>
          <c:idx val="0"/>
          <c:order val="0"/>
          <c:tx>
            <c:v>Ramp</c:v>
          </c:tx>
          <c:spPr>
            <a:ln w="28575">
              <a:noFill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Blad1!$H$14</c:f>
              <c:numCache>
                <c:formatCode>General</c:formatCode>
                <c:ptCount val="1"/>
                <c:pt idx="0">
                  <c:v>36.6</c:v>
                </c:pt>
              </c:numCache>
            </c:numRef>
          </c:xVal>
          <c:yVal>
            <c:numRef>
              <c:f>Blad1!$D$14</c:f>
              <c:numCache>
                <c:formatCode>General</c:formatCode>
                <c:ptCount val="1"/>
                <c:pt idx="0">
                  <c:v>1124.9998843600001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07D-4792-865E-1FDCAAD4EFB4}"/>
            </c:ext>
          </c:extLst>
        </c:ser>
        <c:ser>
          <c:idx val="1"/>
          <c:order val="1"/>
          <c:tx>
            <c:v>Take-off</c:v>
          </c:tx>
          <c:spPr>
            <a:ln w="28575">
              <a:noFill/>
            </a:ln>
          </c:spPr>
          <c:marker>
            <c:symbol val="diamond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Blad1!$H$18</c:f>
              <c:numCache>
                <c:formatCode>General</c:formatCode>
                <c:ptCount val="1"/>
                <c:pt idx="0">
                  <c:v>36</c:v>
                </c:pt>
              </c:numCache>
            </c:numRef>
          </c:xVal>
          <c:yVal>
            <c:numRef>
              <c:f>Blad1!$D$18</c:f>
              <c:numCache>
                <c:formatCode>General</c:formatCode>
                <c:ptCount val="1"/>
                <c:pt idx="0">
                  <c:v>1124.9998843600001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07D-4792-865E-1FDCAAD4EFB4}"/>
            </c:ext>
          </c:extLst>
        </c:ser>
        <c:ser>
          <c:idx val="2"/>
          <c:order val="2"/>
          <c:tx>
            <c:v>Landing</c:v>
          </c:tx>
          <c:spPr>
            <a:ln w="28575">
              <a:noFill/>
            </a:ln>
          </c:spPr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Blad1!$H$22</c:f>
              <c:numCache>
                <c:formatCode>General</c:formatCode>
                <c:ptCount val="1"/>
                <c:pt idx="0">
                  <c:v>36</c:v>
                </c:pt>
              </c:numCache>
            </c:numRef>
          </c:xVal>
          <c:yVal>
            <c:numRef>
              <c:f>Blad1!$D$22</c:f>
              <c:numCache>
                <c:formatCode>General</c:formatCode>
                <c:ptCount val="1"/>
                <c:pt idx="0">
                  <c:v>1124.9998843600001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07D-4792-865E-1FDCAAD4EF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798848"/>
        <c:axId val="124821888"/>
      </c:scatterChart>
      <c:valAx>
        <c:axId val="124798848"/>
        <c:scaling>
          <c:orientation val="minMax"/>
          <c:max val="65"/>
          <c:min val="3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Loaded aircraft moment/1000 (lbs-inch)</a:t>
                </a:r>
              </a:p>
            </c:rich>
          </c:tx>
          <c:layout>
            <c:manualLayout>
              <c:xMode val="edge"/>
              <c:yMode val="edge"/>
              <c:x val="0.32486805815941755"/>
              <c:y val="0.9304912241420059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24821888"/>
        <c:crossesAt val="45"/>
        <c:crossBetween val="midCat"/>
        <c:majorUnit val="5"/>
      </c:valAx>
      <c:valAx>
        <c:axId val="124821888"/>
        <c:scaling>
          <c:orientation val="minMax"/>
          <c:max val="1650"/>
          <c:min val="1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Loaded aircraft  weight (lbs)</a:t>
                </a:r>
              </a:p>
            </c:rich>
          </c:tx>
          <c:layout>
            <c:manualLayout>
              <c:xMode val="edge"/>
              <c:yMode val="edge"/>
              <c:x val="1.6931216931216932E-2"/>
              <c:y val="0.3522911768730327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24798848"/>
        <c:crossesAt val="0"/>
        <c:crossBetween val="midCat"/>
        <c:majorUnit val="50"/>
        <c:minorUnit val="1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622106447663972"/>
          <c:y val="0.28591592373268426"/>
          <c:w val="0.12202178939119464"/>
          <c:h val="0.133109206987777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000000000001465" r="0.75000000000001465" t="1" header="0.5" footer="0.5"/>
    <c:pageSetup paperSize="9" orientation="landscape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571895</xdr:colOff>
      <xdr:row>0</xdr:row>
      <xdr:rowOff>893334</xdr:rowOff>
    </xdr:to>
    <xdr:pic>
      <xdr:nvPicPr>
        <xdr:cNvPr id="7" name="Picture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834083" cy="893334"/>
        </a:xfrm>
        <a:prstGeom prst="rect">
          <a:avLst/>
        </a:prstGeom>
        <a:noFill/>
      </xdr:spPr>
    </xdr:pic>
    <xdr:clientData/>
  </xdr:twoCellAnchor>
  <xdr:twoCellAnchor>
    <xdr:from>
      <xdr:col>11</xdr:col>
      <xdr:colOff>51027</xdr:colOff>
      <xdr:row>0</xdr:row>
      <xdr:rowOff>51027</xdr:rowOff>
    </xdr:from>
    <xdr:to>
      <xdr:col>21</xdr:col>
      <xdr:colOff>52842</xdr:colOff>
      <xdr:row>28</xdr:row>
      <xdr:rowOff>1</xdr:rowOff>
    </xdr:to>
    <xdr:graphicFrame macro="">
      <xdr:nvGraphicFramePr>
        <xdr:cNvPr id="9" name="Chart 3">
          <a:extLst>
            <a:ext uri="{FF2B5EF4-FFF2-40B4-BE49-F238E27FC236}">
              <a16:creationId xmlns:a16="http://schemas.microsoft.com/office/drawing/2014/main" id="{B1594A13-E80C-4B28-A83A-9633A5F3BC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362591</xdr:colOff>
      <xdr:row>0</xdr:row>
      <xdr:rowOff>276145</xdr:rowOff>
    </xdr:from>
    <xdr:to>
      <xdr:col>10</xdr:col>
      <xdr:colOff>403411</xdr:colOff>
      <xdr:row>0</xdr:row>
      <xdr:rowOff>773206</xdr:rowOff>
    </xdr:to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A41D3E4B-487D-4159-8B16-39F4EFD782B7}"/>
            </a:ext>
          </a:extLst>
        </xdr:cNvPr>
        <xdr:cNvSpPr txBox="1"/>
      </xdr:nvSpPr>
      <xdr:spPr>
        <a:xfrm>
          <a:off x="3937267" y="276145"/>
          <a:ext cx="4892968" cy="4970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2400" b="1">
              <a:solidFill>
                <a:srgbClr val="FF0000"/>
              </a:solidFill>
            </a:rPr>
            <a:t>ALLEEN DE WITTE VAKJES</a:t>
          </a:r>
          <a:r>
            <a:rPr lang="nl-NL" sz="2400" b="1" baseline="0">
              <a:solidFill>
                <a:srgbClr val="FF0000"/>
              </a:solidFill>
            </a:rPr>
            <a:t> INVULLEN</a:t>
          </a:r>
          <a:endParaRPr lang="nl-NL" sz="2400" b="1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0.39259</cdr:x>
      <cdr:y>0.28594</cdr:y>
    </cdr:from>
    <cdr:to>
      <cdr:x>0.75979</cdr:x>
      <cdr:y>0.79621</cdr:y>
    </cdr:to>
    <cdr:sp macro="" textlink="">
      <cdr:nvSpPr>
        <cdr:cNvPr id="204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3533775" y="1724024"/>
          <a:ext cx="3305176" cy="307657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540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nl-NL"/>
        </a:p>
      </cdr:txBody>
    </cdr:sp>
  </cdr:relSizeAnchor>
  <cdr:relSizeAnchor xmlns:cdr="http://schemas.openxmlformats.org/drawingml/2006/chartDrawing">
    <cdr:from>
      <cdr:x>0.60741</cdr:x>
      <cdr:y>0.28594</cdr:y>
    </cdr:from>
    <cdr:to>
      <cdr:x>0.75949</cdr:x>
      <cdr:y>0.28625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467350" y="1724025"/>
          <a:ext cx="1368882" cy="189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540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nl-NL"/>
        </a:p>
      </cdr:txBody>
    </cdr:sp>
  </cdr:relSizeAnchor>
  <cdr:relSizeAnchor xmlns:cdr="http://schemas.openxmlformats.org/drawingml/2006/chartDrawing">
    <cdr:from>
      <cdr:x>0.23677</cdr:x>
      <cdr:y>0.5624</cdr:y>
    </cdr:from>
    <cdr:to>
      <cdr:x>0.39153</cdr:x>
      <cdr:y>0.79694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2131166" y="3390899"/>
          <a:ext cx="1393084" cy="141411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540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nl-NL"/>
        </a:p>
      </cdr:txBody>
    </cdr:sp>
  </cdr:relSizeAnchor>
  <cdr:relSizeAnchor xmlns:cdr="http://schemas.openxmlformats.org/drawingml/2006/chartDrawing">
    <cdr:from>
      <cdr:x>0.39153</cdr:x>
      <cdr:y>0.28442</cdr:y>
    </cdr:from>
    <cdr:to>
      <cdr:x>0.61045</cdr:x>
      <cdr:y>0.56398</cdr:y>
    </cdr:to>
    <cdr:sp macro="" textlink="">
      <cdr:nvSpPr>
        <cdr:cNvPr id="205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3524249" y="1714884"/>
          <a:ext cx="1970469" cy="168554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540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nl-NL"/>
        </a:p>
      </cdr:txBody>
    </cdr:sp>
  </cdr:relSizeAnchor>
</c:userShape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77"/>
  <sheetViews>
    <sheetView tabSelected="1" zoomScale="110" zoomScaleNormal="110" workbookViewId="0">
      <selection activeCell="E31" sqref="E31"/>
    </sheetView>
  </sheetViews>
  <sheetFormatPr baseColWidth="10" defaultColWidth="8.83203125" defaultRowHeight="13" x14ac:dyDescent="0.15"/>
  <cols>
    <col min="1" max="1" width="20" customWidth="1"/>
    <col min="2" max="2" width="13.83203125" style="2" customWidth="1"/>
    <col min="3" max="3" width="10.6640625" style="2" bestFit="1" customWidth="1"/>
    <col min="4" max="7" width="9.1640625" style="2"/>
    <col min="8" max="8" width="13" style="2" customWidth="1"/>
    <col min="9" max="9" width="21" customWidth="1"/>
    <col min="10" max="10" width="11.5" customWidth="1"/>
  </cols>
  <sheetData>
    <row r="1" spans="1:22" ht="96.75" customHeight="1" x14ac:dyDescent="0.25">
      <c r="A1" s="7" t="s">
        <v>24</v>
      </c>
      <c r="B1" s="8"/>
      <c r="C1" s="9"/>
      <c r="D1" s="9"/>
      <c r="E1" s="9"/>
      <c r="F1" s="9"/>
      <c r="G1" s="9"/>
      <c r="H1" s="44" t="s">
        <v>30</v>
      </c>
      <c r="I1" s="45">
        <f ca="1">TODAY()</f>
        <v>44323</v>
      </c>
      <c r="J1" s="46"/>
      <c r="K1" s="10">
        <v>1</v>
      </c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</row>
    <row r="2" spans="1:22" x14ac:dyDescent="0.15">
      <c r="A2" s="11" t="s">
        <v>22</v>
      </c>
      <c r="B2" s="9"/>
      <c r="C2" s="9"/>
      <c r="D2" s="9"/>
      <c r="E2" s="9"/>
      <c r="F2" s="9"/>
      <c r="G2" s="9"/>
      <c r="H2" s="47"/>
      <c r="I2" s="48"/>
      <c r="J2" s="48"/>
      <c r="K2" s="32" t="s">
        <v>20</v>
      </c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</row>
    <row r="3" spans="1:22" s="3" customFormat="1" ht="18.75" customHeight="1" x14ac:dyDescent="0.2">
      <c r="A3" s="13"/>
      <c r="B3" s="13"/>
      <c r="C3" s="14" t="s">
        <v>2</v>
      </c>
      <c r="D3" s="13"/>
      <c r="E3" s="13"/>
      <c r="F3" s="14" t="s">
        <v>3</v>
      </c>
      <c r="G3" s="13"/>
      <c r="H3" s="14" t="s">
        <v>5</v>
      </c>
      <c r="I3" s="15"/>
      <c r="J3" s="16" t="s">
        <v>15</v>
      </c>
      <c r="K3" s="16" t="s">
        <v>15</v>
      </c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</row>
    <row r="4" spans="1:22" s="2" customFormat="1" x14ac:dyDescent="0.15">
      <c r="A4" s="17"/>
      <c r="B4" s="17"/>
      <c r="C4" s="17" t="s">
        <v>0</v>
      </c>
      <c r="D4" s="17" t="s">
        <v>1</v>
      </c>
      <c r="E4" s="17"/>
      <c r="F4" s="17" t="s">
        <v>4</v>
      </c>
      <c r="G4" s="17"/>
      <c r="H4" s="17" t="s">
        <v>14</v>
      </c>
      <c r="I4" s="18"/>
      <c r="J4" s="18" t="s">
        <v>16</v>
      </c>
      <c r="K4" s="18" t="s">
        <v>17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1:22" x14ac:dyDescent="0.15">
      <c r="A5" s="19" t="s">
        <v>23</v>
      </c>
      <c r="B5" s="41"/>
      <c r="C5" s="41">
        <v>510.29660000000001</v>
      </c>
      <c r="D5" s="21">
        <f>(C5*2.2046)</f>
        <v>1124.9998843600001</v>
      </c>
      <c r="E5" s="21"/>
      <c r="F5" s="49">
        <v>52.332999999999998</v>
      </c>
      <c r="G5" s="21"/>
      <c r="H5" s="21">
        <v>36.6</v>
      </c>
      <c r="I5" s="22"/>
      <c r="J5" s="22"/>
      <c r="K5" s="22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</row>
    <row r="6" spans="1:22" x14ac:dyDescent="0.15">
      <c r="A6" s="19" t="s">
        <v>26</v>
      </c>
      <c r="B6" s="21"/>
      <c r="C6" s="35">
        <v>0</v>
      </c>
      <c r="D6" s="21">
        <f>(C6*2.2046)</f>
        <v>0</v>
      </c>
      <c r="E6" s="21"/>
      <c r="F6" s="21">
        <v>39</v>
      </c>
      <c r="G6" s="21"/>
      <c r="H6" s="21">
        <f>(D6*F6)/1000</f>
        <v>0</v>
      </c>
      <c r="I6" s="22"/>
      <c r="J6" s="22"/>
      <c r="K6" s="22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</row>
    <row r="7" spans="1:22" x14ac:dyDescent="0.15">
      <c r="A7" s="19" t="s">
        <v>27</v>
      </c>
      <c r="B7" s="21"/>
      <c r="C7" s="35">
        <v>0</v>
      </c>
      <c r="D7" s="21">
        <f>(C7*2.2046)</f>
        <v>0</v>
      </c>
      <c r="E7" s="21"/>
      <c r="F7" s="21">
        <v>39</v>
      </c>
      <c r="G7" s="21"/>
      <c r="H7" s="21">
        <f>(D7*F7)/1000</f>
        <v>0</v>
      </c>
      <c r="I7" s="22"/>
      <c r="J7" s="22"/>
      <c r="K7" s="22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</row>
    <row r="8" spans="1:22" x14ac:dyDescent="0.15">
      <c r="A8" s="19" t="s">
        <v>28</v>
      </c>
      <c r="B8" s="21"/>
      <c r="C8" s="9">
        <v>0</v>
      </c>
      <c r="D8" s="21">
        <f t="shared" ref="D8" si="0">(C8*2.2046)</f>
        <v>0</v>
      </c>
      <c r="E8" s="21"/>
      <c r="F8" s="21">
        <v>64</v>
      </c>
      <c r="G8" s="21"/>
      <c r="H8" s="21">
        <f>(D8*F8)/1000</f>
        <v>0</v>
      </c>
      <c r="I8" s="22"/>
      <c r="J8" s="22"/>
      <c r="K8" s="22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</row>
    <row r="9" spans="1:22" s="6" customFormat="1" x14ac:dyDescent="0.15">
      <c r="A9" s="19" t="s">
        <v>29</v>
      </c>
      <c r="B9" s="42"/>
      <c r="C9" s="9">
        <v>0</v>
      </c>
      <c r="D9" s="43">
        <f xml:space="preserve"> (2.2046*C9)</f>
        <v>0</v>
      </c>
      <c r="E9" s="42"/>
      <c r="F9" s="21">
        <v>84</v>
      </c>
      <c r="G9" s="42"/>
      <c r="H9" s="21">
        <f>(D9*F9)/1000</f>
        <v>0</v>
      </c>
      <c r="I9" s="42"/>
      <c r="J9" s="42"/>
      <c r="K9" s="42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</row>
    <row r="10" spans="1:22" x14ac:dyDescent="0.15">
      <c r="A10" s="23" t="s">
        <v>6</v>
      </c>
      <c r="B10" s="24"/>
      <c r="C10" s="24">
        <f>SUM(C5:C9)</f>
        <v>510.29660000000001</v>
      </c>
      <c r="D10" s="21">
        <f>(C10*2.2046)</f>
        <v>1124.9998843600001</v>
      </c>
      <c r="E10" s="24"/>
      <c r="F10" s="24"/>
      <c r="G10" s="24"/>
      <c r="H10" s="24">
        <f>SUM(H5:H9)</f>
        <v>36.6</v>
      </c>
      <c r="I10" s="25"/>
      <c r="J10" s="22">
        <f>(50.5+((D10-1500)/21.05))</f>
        <v>32.6852676655582</v>
      </c>
      <c r="K10" s="22">
        <f>SUM(J10+20.5)</f>
        <v>53.1852676655582</v>
      </c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</row>
    <row r="11" spans="1:22" s="5" customFormat="1" x14ac:dyDescent="0.15">
      <c r="A11" s="11"/>
      <c r="B11" s="9"/>
      <c r="C11" s="9"/>
      <c r="D11" s="9"/>
      <c r="E11" s="9"/>
      <c r="F11" s="9"/>
      <c r="G11" s="9"/>
      <c r="H11" s="9"/>
      <c r="I11" s="12"/>
      <c r="J11" s="12"/>
      <c r="K11" s="12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</row>
    <row r="12" spans="1:22" x14ac:dyDescent="0.15">
      <c r="A12" s="17"/>
      <c r="B12" s="17" t="s">
        <v>12</v>
      </c>
      <c r="C12" s="17" t="s">
        <v>13</v>
      </c>
      <c r="D12" s="17" t="s">
        <v>19</v>
      </c>
      <c r="E12" s="17" t="s">
        <v>21</v>
      </c>
      <c r="F12" s="17" t="s">
        <v>4</v>
      </c>
      <c r="G12" s="17"/>
      <c r="H12" s="17" t="s">
        <v>14</v>
      </c>
      <c r="I12" s="18"/>
      <c r="J12" s="18"/>
      <c r="K12" s="18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</row>
    <row r="13" spans="1:22" s="1" customFormat="1" x14ac:dyDescent="0.15">
      <c r="A13" s="19" t="s">
        <v>9</v>
      </c>
      <c r="B13" s="9">
        <v>0</v>
      </c>
      <c r="C13" s="21">
        <f>B13*3.8</f>
        <v>0</v>
      </c>
      <c r="D13" s="21">
        <f>(B13*6)</f>
        <v>0</v>
      </c>
      <c r="E13" s="21"/>
      <c r="F13" s="21">
        <v>40</v>
      </c>
      <c r="G13" s="21"/>
      <c r="H13" s="21">
        <f>(D13*F13)/1000</f>
        <v>0</v>
      </c>
      <c r="I13" s="22"/>
      <c r="J13" s="22"/>
      <c r="K13" s="22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</row>
    <row r="14" spans="1:22" s="4" customFormat="1" x14ac:dyDescent="0.15">
      <c r="A14" s="23" t="s">
        <v>7</v>
      </c>
      <c r="B14" s="24"/>
      <c r="C14" s="24"/>
      <c r="D14" s="51">
        <f>SUM(D10+D13)</f>
        <v>1124.9998843600001</v>
      </c>
      <c r="E14" s="26" t="str">
        <f>IF($D$14&gt;1600,"Overschrijding maximum ramp mass!","Ramp mass OK")</f>
        <v>Ramp mass OK</v>
      </c>
      <c r="F14" s="24"/>
      <c r="G14" s="24"/>
      <c r="H14" s="24">
        <f>SUM(H10+H13)</f>
        <v>36.6</v>
      </c>
      <c r="I14" s="26" t="str">
        <f>IF(H14&lt;=J14,"Forward CG!",IF(H14&gt;=K14,"Aft CG!","CG OK"))</f>
        <v>CG OK</v>
      </c>
      <c r="J14" s="22">
        <f>(50.5+((D14-1500)/21.05))</f>
        <v>32.6852676655582</v>
      </c>
      <c r="K14" s="22">
        <f>SUM(J14+20.5)</f>
        <v>53.1852676655582</v>
      </c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</row>
    <row r="15" spans="1:22" s="5" customFormat="1" x14ac:dyDescent="0.15">
      <c r="A15" s="27"/>
      <c r="B15" s="20"/>
      <c r="C15" s="20"/>
      <c r="D15" s="20"/>
      <c r="E15" s="20"/>
      <c r="F15" s="20"/>
      <c r="G15" s="20"/>
      <c r="H15" s="20"/>
      <c r="I15" s="28"/>
      <c r="J15" s="28"/>
      <c r="K15" s="28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</row>
    <row r="16" spans="1:22" x14ac:dyDescent="0.15">
      <c r="A16" s="17"/>
      <c r="B16" s="17" t="s">
        <v>12</v>
      </c>
      <c r="C16" s="17" t="s">
        <v>13</v>
      </c>
      <c r="D16" s="17" t="s">
        <v>1</v>
      </c>
      <c r="E16" s="17"/>
      <c r="F16" s="17" t="s">
        <v>4</v>
      </c>
      <c r="G16" s="17"/>
      <c r="H16" s="17" t="s">
        <v>14</v>
      </c>
      <c r="I16" s="18"/>
      <c r="J16" s="18"/>
      <c r="K16" s="18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</row>
    <row r="17" spans="1:22" s="1" customFormat="1" x14ac:dyDescent="0.15">
      <c r="A17" s="19" t="s">
        <v>10</v>
      </c>
      <c r="B17" s="9">
        <v>0</v>
      </c>
      <c r="C17" s="21">
        <f>(B17*3.8)</f>
        <v>0</v>
      </c>
      <c r="D17" s="21">
        <f>(B17*6)</f>
        <v>0</v>
      </c>
      <c r="E17" s="21"/>
      <c r="F17" s="21">
        <v>40</v>
      </c>
      <c r="G17" s="21"/>
      <c r="H17" s="21">
        <v>0.6</v>
      </c>
      <c r="I17" s="22"/>
      <c r="J17" s="22"/>
      <c r="K17" s="22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</row>
    <row r="18" spans="1:22" s="4" customFormat="1" x14ac:dyDescent="0.15">
      <c r="A18" s="23" t="s">
        <v>25</v>
      </c>
      <c r="B18" s="24"/>
      <c r="C18" s="24"/>
      <c r="D18" s="26">
        <f>SUM(D14-D17)</f>
        <v>1124.9998843600001</v>
      </c>
      <c r="E18" s="26" t="str">
        <f>IF($D$18&gt;1600,"Overschrijding maximum take-off mass!","Take-off mass OK")</f>
        <v>Take-off mass OK</v>
      </c>
      <c r="F18" s="24"/>
      <c r="G18" s="24"/>
      <c r="H18" s="24">
        <f>SUM(H14-H17)</f>
        <v>36</v>
      </c>
      <c r="I18" s="26" t="str">
        <f>IF(H18&lt;=J18,"Forward CG!",IF(H18&gt;=K18,"Aft CG!","CG OK"))</f>
        <v>CG OK</v>
      </c>
      <c r="J18" s="22">
        <f>(50.5+((D18-1500)/21.05))</f>
        <v>32.6852676655582</v>
      </c>
      <c r="K18" s="22">
        <f>SUM(J18+20.5)</f>
        <v>53.1852676655582</v>
      </c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</row>
    <row r="19" spans="1:22" s="5" customFormat="1" x14ac:dyDescent="0.15">
      <c r="A19" s="27"/>
      <c r="B19" s="20"/>
      <c r="C19" s="20"/>
      <c r="D19" s="20"/>
      <c r="E19" s="20"/>
      <c r="F19" s="20"/>
      <c r="G19" s="20"/>
      <c r="H19" s="20"/>
      <c r="I19" s="28"/>
      <c r="J19" s="28"/>
      <c r="K19" s="28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</row>
    <row r="20" spans="1:22" x14ac:dyDescent="0.15">
      <c r="A20" s="17"/>
      <c r="B20" s="17" t="s">
        <v>12</v>
      </c>
      <c r="C20" s="17" t="s">
        <v>13</v>
      </c>
      <c r="D20" s="17" t="s">
        <v>1</v>
      </c>
      <c r="E20" s="17"/>
      <c r="F20" s="17" t="s">
        <v>4</v>
      </c>
      <c r="G20" s="17"/>
      <c r="H20" s="17" t="s">
        <v>14</v>
      </c>
      <c r="I20" s="18"/>
      <c r="J20" s="18"/>
      <c r="K20" s="18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</row>
    <row r="21" spans="1:22" s="1" customFormat="1" x14ac:dyDescent="0.15">
      <c r="A21" s="19" t="s">
        <v>11</v>
      </c>
      <c r="B21" s="9">
        <v>0</v>
      </c>
      <c r="C21" s="21">
        <f>(B21*3.8)</f>
        <v>0</v>
      </c>
      <c r="D21" s="21">
        <f>(B21*6)</f>
        <v>0</v>
      </c>
      <c r="E21" s="21"/>
      <c r="F21" s="21">
        <v>40</v>
      </c>
      <c r="G21" s="21"/>
      <c r="H21" s="21">
        <f>(D21*F21)/1000</f>
        <v>0</v>
      </c>
      <c r="I21" s="22"/>
      <c r="J21" s="22"/>
      <c r="K21" s="22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</row>
    <row r="22" spans="1:22" s="1" customFormat="1" x14ac:dyDescent="0.15">
      <c r="A22" s="23" t="s">
        <v>8</v>
      </c>
      <c r="B22" s="24" t="s">
        <v>18</v>
      </c>
      <c r="C22" s="24"/>
      <c r="D22" s="26">
        <f>SUM(D18-D21)</f>
        <v>1124.9998843600001</v>
      </c>
      <c r="E22" s="26" t="str">
        <f>IF($D$22&gt;1600,"Overschrijding maximum landing mass!","Landing mass OK")</f>
        <v>Landing mass OK</v>
      </c>
      <c r="F22" s="24"/>
      <c r="G22" s="24"/>
      <c r="H22" s="24">
        <f>SUM(H18-H21)</f>
        <v>36</v>
      </c>
      <c r="I22" s="26" t="str">
        <f>IF(H22&lt;=J22,"Forward CG!",IF(H22&gt;=K22,"Aft CG!","CG OK"))</f>
        <v>CG OK</v>
      </c>
      <c r="J22" s="22">
        <f>(50.5+((D22-1500)/21.05))</f>
        <v>32.6852676655582</v>
      </c>
      <c r="K22" s="22">
        <f>SUM(J22+20.5)</f>
        <v>53.1852676655582</v>
      </c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</row>
    <row r="23" spans="1:22" s="1" customFormat="1" x14ac:dyDescent="0.15">
      <c r="A23" s="23"/>
      <c r="B23" s="24"/>
      <c r="C23" s="24"/>
      <c r="D23" s="26"/>
      <c r="E23" s="26"/>
      <c r="F23" s="24"/>
      <c r="G23" s="24"/>
      <c r="H23" s="24"/>
      <c r="I23" s="26"/>
      <c r="J23" s="22"/>
      <c r="K23" s="22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</row>
    <row r="24" spans="1:22" s="1" customFormat="1" x14ac:dyDescent="0.15">
      <c r="A24" s="29"/>
      <c r="B24" s="30"/>
      <c r="C24" s="30"/>
      <c r="D24" s="26"/>
      <c r="E24" s="26"/>
      <c r="F24" s="30"/>
      <c r="G24" s="30"/>
      <c r="H24" s="30"/>
      <c r="I24" s="38"/>
      <c r="J24" s="39"/>
      <c r="K24" s="22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</row>
    <row r="25" spans="1:22" s="1" customFormat="1" x14ac:dyDescent="0.15">
      <c r="A25" s="33"/>
      <c r="B25" s="34"/>
      <c r="C25" s="30"/>
      <c r="D25" s="26"/>
      <c r="E25" s="26"/>
      <c r="F25" s="30"/>
      <c r="G25" s="30"/>
      <c r="H25" s="30"/>
      <c r="I25" s="38"/>
      <c r="J25" s="39"/>
      <c r="K25" s="22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</row>
    <row r="26" spans="1:22" s="1" customFormat="1" x14ac:dyDescent="0.15">
      <c r="A26" s="29"/>
      <c r="B26" s="30"/>
      <c r="C26" s="30"/>
      <c r="D26" s="26"/>
      <c r="E26" s="26"/>
      <c r="F26" s="30"/>
      <c r="G26" s="30"/>
      <c r="H26" s="30"/>
      <c r="I26" s="38"/>
      <c r="J26" s="39"/>
      <c r="K26" s="22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</row>
    <row r="27" spans="1:22" s="1" customFormat="1" x14ac:dyDescent="0.15">
      <c r="A27" s="29"/>
      <c r="B27" s="52" t="s">
        <v>32</v>
      </c>
      <c r="C27" s="52"/>
      <c r="D27" s="52"/>
      <c r="E27" s="52"/>
      <c r="F27" s="52"/>
      <c r="G27" s="40"/>
      <c r="H27" s="52" t="s">
        <v>31</v>
      </c>
      <c r="I27" s="52"/>
      <c r="J27" s="52"/>
      <c r="K27" s="22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</row>
    <row r="28" spans="1:22" x14ac:dyDescent="0.15">
      <c r="A28" s="29"/>
      <c r="B28" s="30"/>
      <c r="C28" s="30"/>
      <c r="D28" s="26"/>
      <c r="E28" s="26"/>
      <c r="F28" s="30"/>
      <c r="G28" s="30"/>
      <c r="H28" s="30"/>
      <c r="I28" s="38"/>
      <c r="J28" s="39"/>
      <c r="K28" s="22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</row>
    <row r="29" spans="1:22" x14ac:dyDescent="0.15"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</row>
    <row r="30" spans="1:22" x14ac:dyDescent="0.15"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</row>
    <row r="31" spans="1:22" x14ac:dyDescent="0.15"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</row>
    <row r="32" spans="1:22" x14ac:dyDescent="0.15"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</row>
    <row r="33" spans="12:22" x14ac:dyDescent="0.15"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</row>
    <row r="34" spans="12:22" x14ac:dyDescent="0.15"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</row>
    <row r="35" spans="12:22" x14ac:dyDescent="0.15"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</row>
    <row r="36" spans="12:22" x14ac:dyDescent="0.15"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</row>
    <row r="37" spans="12:22" x14ac:dyDescent="0.15"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</row>
    <row r="38" spans="12:22" x14ac:dyDescent="0.15"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</row>
    <row r="39" spans="12:22" x14ac:dyDescent="0.15"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</row>
    <row r="69" spans="2:9" x14ac:dyDescent="0.15">
      <c r="B69" s="31"/>
    </row>
    <row r="70" spans="2:9" x14ac:dyDescent="0.15">
      <c r="B70" s="31"/>
    </row>
    <row r="75" spans="2:9" x14ac:dyDescent="0.15">
      <c r="E75" s="31"/>
      <c r="H75" s="36"/>
      <c r="I75" s="37"/>
    </row>
    <row r="76" spans="2:9" x14ac:dyDescent="0.15">
      <c r="H76" s="36"/>
      <c r="I76" s="37"/>
    </row>
    <row r="77" spans="2:9" x14ac:dyDescent="0.15">
      <c r="H77" s="36"/>
      <c r="I77" s="37"/>
    </row>
  </sheetData>
  <mergeCells count="2">
    <mergeCell ref="B27:F27"/>
    <mergeCell ref="H27:J27"/>
  </mergeCells>
  <phoneticPr fontId="0" type="noConversion"/>
  <conditionalFormatting sqref="D14 D18 D22:D26 D28">
    <cfRule type="cellIs" dxfId="7" priority="1" stopIfTrue="1" operator="greaterThan">
      <formula>2400</formula>
    </cfRule>
    <cfRule type="cellIs" dxfId="6" priority="3" stopIfTrue="1" operator="lessThanOrEqual">
      <formula>2400</formula>
    </cfRule>
  </conditionalFormatting>
  <conditionalFormatting sqref="H14">
    <cfRule type="cellIs" dxfId="5" priority="4" stopIfTrue="1" operator="notBetween">
      <formula>$J$14</formula>
      <formula>$K$14</formula>
    </cfRule>
    <cfRule type="cellIs" dxfId="4" priority="5" stopIfTrue="1" operator="between">
      <formula>$J$14</formula>
      <formula>$K$14</formula>
    </cfRule>
  </conditionalFormatting>
  <conditionalFormatting sqref="H18">
    <cfRule type="cellIs" dxfId="3" priority="6" stopIfTrue="1" operator="notBetween">
      <formula>$J$18</formula>
      <formula>$K$18</formula>
    </cfRule>
    <cfRule type="cellIs" dxfId="2" priority="7" stopIfTrue="1" operator="between">
      <formula>$J$18</formula>
      <formula>$K$18</formula>
    </cfRule>
  </conditionalFormatting>
  <conditionalFormatting sqref="H22:H26 H28">
    <cfRule type="cellIs" dxfId="1" priority="8" stopIfTrue="1" operator="notBetween">
      <formula>$J$22</formula>
      <formula>$K$22</formula>
    </cfRule>
    <cfRule type="cellIs" dxfId="0" priority="9" stopIfTrue="1" operator="between">
      <formula>$J$22</formula>
      <formula>$K$22</formula>
    </cfRule>
  </conditionalFormatting>
  <pageMargins left="0.75" right="0.75" top="1" bottom="1" header="0.5" footer="0.5"/>
  <pageSetup paperSize="9" scale="64" orientation="portrait" r:id="rId1"/>
  <headerFooter alignWithMargins="0"/>
  <ignoredErrors>
    <ignoredError sqref="D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Company>Vliegwerk holland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Vliegwerk</dc:creator>
  <cp:lastModifiedBy>antoon wiessenberg</cp:lastModifiedBy>
  <cp:lastPrinted>2016-08-27T08:17:32Z</cp:lastPrinted>
  <dcterms:created xsi:type="dcterms:W3CDTF">2005-05-21T08:59:53Z</dcterms:created>
  <dcterms:modified xsi:type="dcterms:W3CDTF">2021-05-07T08:20:46Z</dcterms:modified>
</cp:coreProperties>
</file>